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9080" windowHeight="12465" activeTab="0"/>
  </bookViews>
  <sheets>
    <sheet name="Sheet1" sheetId="1" r:id="rId1"/>
  </sheets>
  <definedNames>
    <definedName name="ALat">'Sheet1'!$E$110</definedName>
    <definedName name="ALon">'Sheet1'!$E$111</definedName>
    <definedName name="AtoB">'Sheet1'!$I$120</definedName>
    <definedName name="BLat">'Sheet1'!$E$112</definedName>
    <definedName name="BLon">'Sheet1'!$E$113</definedName>
    <definedName name="BtoA">'Sheet1'!$I$122</definedName>
    <definedName name="DLat">'Sheet1'!$I$118</definedName>
    <definedName name="DLon">'Sheet1'!$I$119</definedName>
  </definedNames>
  <calcPr fullCalcOnLoad="1"/>
</workbook>
</file>

<file path=xl/sharedStrings.xml><?xml version="1.0" encoding="utf-8"?>
<sst xmlns="http://schemas.openxmlformats.org/spreadsheetml/2006/main" count="298" uniqueCount="148">
  <si>
    <t>RF Calculator for Microsoft Excel spreadsheet program</t>
  </si>
  <si>
    <t>V 8.7</t>
  </si>
  <si>
    <t>Complements of Jack Daniel Co: www.RFSolutions.com : 1-800-NON-TOLL</t>
  </si>
  <si>
    <t>© 2002 Jack Daniel. All Rights Reserved. Do Not Remove this notice.</t>
  </si>
  <si>
    <t>Notice: No Charge, No Warranty, No Guarantee, No Exceptions!</t>
  </si>
  <si>
    <t>General Use Section (See Signal Booster section below)</t>
  </si>
  <si>
    <t>1. Find Free Space (clear line of sight) Path Loss</t>
  </si>
  <si>
    <t>Enter</t>
  </si>
  <si>
    <t>MHz</t>
  </si>
  <si>
    <t>miles, Path length</t>
  </si>
  <si>
    <t>Answer</t>
  </si>
  <si>
    <t>dB, Path Loss</t>
  </si>
  <si>
    <t>2. Convert watts to dBm and dBW</t>
  </si>
  <si>
    <t>watt</t>
  </si>
  <si>
    <t>dBm</t>
  </si>
  <si>
    <t>dBW</t>
  </si>
  <si>
    <t>3. Convert dBm to watts and milliwatts</t>
  </si>
  <si>
    <t>watts</t>
  </si>
  <si>
    <t xml:space="preserve">Answer </t>
  </si>
  <si>
    <t>milliwatts</t>
  </si>
  <si>
    <t>4. Convert uV to dBm (50 ohm impedance)</t>
  </si>
  <si>
    <t>uV</t>
  </si>
  <si>
    <t>5. Convert dBm to uV (50 ohm impedance)</t>
  </si>
  <si>
    <t>6. Convert dBW to uV (50 ohm impedance)</t>
  </si>
  <si>
    <t>7. Convert dBu and Freq. to dBm and uV</t>
  </si>
  <si>
    <t xml:space="preserve">Enter </t>
  </si>
  <si>
    <t>dBu</t>
  </si>
  <si>
    <t xml:space="preserve">8. Convert dBm and Freq. to Field Strength in dBu and mV/meter (relative to a dipole) </t>
  </si>
  <si>
    <t>dBu (dB above 1 uV/meter)</t>
  </si>
  <si>
    <t>mV/meter</t>
  </si>
  <si>
    <t>9. Calculate Return Loss and VSWR from Power out and Power reflected</t>
  </si>
  <si>
    <t>Use the same base (w or mW) in both power level entries</t>
  </si>
  <si>
    <t>Enter Power Forward</t>
  </si>
  <si>
    <t>w or mw</t>
  </si>
  <si>
    <t>Enter Power Reflected</t>
  </si>
  <si>
    <t>Return Loss =</t>
  </si>
  <si>
    <t>dBRL</t>
  </si>
  <si>
    <t>VSWR =</t>
  </si>
  <si>
    <t>:1 ratio</t>
  </si>
  <si>
    <t>10. Calculate Vertical Ant to Ant Isolation (Based on Dipoles)</t>
  </si>
  <si>
    <t>dB: Top antenna gain toward bottom antenna</t>
  </si>
  <si>
    <t>dB: Bottom antenna gain toward top antenna</t>
  </si>
  <si>
    <t>feet (Vertical separation)</t>
  </si>
  <si>
    <t>dB Isolation</t>
  </si>
  <si>
    <t>11. Calculate Horizontal Ant to Ant Isolation (Based on Dipoles)</t>
  </si>
  <si>
    <t>dB: Left antenna gain toward Right antenna</t>
  </si>
  <si>
    <t>dB: Right antenna gain toward Left antenna</t>
  </si>
  <si>
    <t>feet (Horizontal separation)</t>
  </si>
  <si>
    <t>12. Calculate distance to horizon (smooth earth)</t>
  </si>
  <si>
    <t>feet, antenna height</t>
  </si>
  <si>
    <t>miles</t>
  </si>
  <si>
    <t xml:space="preserve">13. Calculate Radio Horizon, Center of Vertical Beam horizon and </t>
  </si>
  <si>
    <t xml:space="preserve">      3 dB point beam horizons. Allows Beam Downtilt.  FLAT EARTH!</t>
  </si>
  <si>
    <t>feet, Antenna Ht. HAAT</t>
  </si>
  <si>
    <t>degrees; Vertical -3 dB beamwidth</t>
  </si>
  <si>
    <t>degrees; Downtilt below horizon</t>
  </si>
  <si>
    <t>mi.: Radio Horizon</t>
  </si>
  <si>
    <t>mi.: Lower 3 dB beamwidth horizon</t>
  </si>
  <si>
    <t>mi.: Center of beamwidth horizon</t>
  </si>
  <si>
    <t>mi.: Upper 3 dB beamwidth horizon</t>
  </si>
  <si>
    <t>14. Calculate unobstructed signal levels using data from calculations above</t>
  </si>
  <si>
    <t>MHz, center frequency</t>
  </si>
  <si>
    <t>dBm: ERP at antenna</t>
  </si>
  <si>
    <t>Level at</t>
  </si>
  <si>
    <t>miles =</t>
  </si>
  <si>
    <t>dBm, worse case</t>
  </si>
  <si>
    <t>15. Convert Degree-Minute.decimal coordinate format to other formats</t>
  </si>
  <si>
    <t xml:space="preserve">  (Note: If you enter an incorrect value you will get an incorrect answer)</t>
  </si>
  <si>
    <t>Degrees</t>
  </si>
  <si>
    <t>Minutes</t>
  </si>
  <si>
    <t>Seconds</t>
  </si>
  <si>
    <t xml:space="preserve">   (dna)</t>
  </si>
  <si>
    <t>D/M</t>
  </si>
  <si>
    <t>D/M/S</t>
  </si>
  <si>
    <t>(dna)</t>
  </si>
  <si>
    <t>D</t>
  </si>
  <si>
    <t>16. Convert Degree-Minute-Second coordinate format to other formats</t>
  </si>
  <si>
    <t>17. Convert Degree.decimal coordinate format to other formats</t>
  </si>
  <si>
    <t>18. Distance between coordinates: FCC distance method: Valid up to ~250 miles</t>
  </si>
  <si>
    <t xml:space="preserve">     (DD = Degrees, MM = Minutes, SS = Seconds)</t>
  </si>
  <si>
    <t>Latitude</t>
  </si>
  <si>
    <t>Longitude</t>
  </si>
  <si>
    <t>Coord.s:</t>
  </si>
  <si>
    <t>DD</t>
  </si>
  <si>
    <t>MM</t>
  </si>
  <si>
    <t>SS</t>
  </si>
  <si>
    <t>DDD</t>
  </si>
  <si>
    <t>Site A</t>
  </si>
  <si>
    <t>Site B</t>
  </si>
  <si>
    <t>miles between Site A and Site B.</t>
  </si>
  <si>
    <t>degrees; Site A to Site B</t>
  </si>
  <si>
    <t>degrees; Site B to Site A</t>
  </si>
  <si>
    <t>Signal Booster Calculation Section</t>
  </si>
  <si>
    <t>A. Calculate Free Space Loss for distances in feet.</t>
  </si>
  <si>
    <t>NOT ACCURATE LESS THAN 20 FEET or 10 Wavelengths!</t>
  </si>
  <si>
    <t>Feet</t>
  </si>
  <si>
    <t>dB</t>
  </si>
  <si>
    <t>B. Calculate Composite Power of multiple carriers.</t>
  </si>
  <si>
    <t>(Enter -200 dBm for unused carrier entry)</t>
  </si>
  <si>
    <t>(For more than 4, Calculate 4 then use the answer as #1 input then enter others)</t>
  </si>
  <si>
    <t>Enter Carrier 1 level</t>
  </si>
  <si>
    <t>Enter Carrier 2 level</t>
  </si>
  <si>
    <t>Enter Carrier 3 level</t>
  </si>
  <si>
    <t>Enter Carrier 4 level</t>
  </si>
  <si>
    <t>Composite Power Level</t>
  </si>
  <si>
    <t>C. Calculate Amplifier Input/Output Noise levels using N.F. , BW and 3rd OIP</t>
  </si>
  <si>
    <t>Enter Noise Figure</t>
  </si>
  <si>
    <t>Enter BW in MHz</t>
  </si>
  <si>
    <t>Enter Amplifier gain</t>
  </si>
  <si>
    <t>Enter 3rd OIP</t>
  </si>
  <si>
    <t xml:space="preserve">dBm </t>
  </si>
  <si>
    <t>Input Noise "floor" =</t>
  </si>
  <si>
    <t>Output Noise for Entered BW     =</t>
  </si>
  <si>
    <t>Output Noise: 25 KHz window   =</t>
  </si>
  <si>
    <t>Output Noise:12.5 KHz window =</t>
  </si>
  <si>
    <t>D. Calculate 3rd order IM product in Class A RF Amps:</t>
  </si>
  <si>
    <t>Enter Amplifier Gain</t>
  </si>
  <si>
    <t>Enter 3rd Order Output IP</t>
  </si>
  <si>
    <t>Enter carrier input level</t>
  </si>
  <si>
    <t>Approx. 1 dB compression level</t>
  </si>
  <si>
    <t>dBm (at output)</t>
  </si>
  <si>
    <t>Carrier output level</t>
  </si>
  <si>
    <t>3rd IM output level</t>
  </si>
  <si>
    <t>3rd IM to carrier difference</t>
  </si>
  <si>
    <t>E. Calculate 2nd &amp; 3rd Order IM using 3rd OIP and Output level</t>
  </si>
  <si>
    <t>Enter 3rd OIP (Output Intercept Point)</t>
  </si>
  <si>
    <t>Enter Output Level</t>
  </si>
  <si>
    <t>2nd Order IM below Output</t>
  </si>
  <si>
    <t>2nd Order IM Output Level</t>
  </si>
  <si>
    <t>3rd Order IM below Output</t>
  </si>
  <si>
    <t>3rd Order IM Output level</t>
  </si>
  <si>
    <t>F. Calculate maximum Output power per carrier for multiple carriers.</t>
  </si>
  <si>
    <t>Note: Uses EIA PN2009 method: Based on equal input levels for all carriers AND</t>
  </si>
  <si>
    <t>IM's attenuated by at least 43 + 10 log(output power per carrier )</t>
  </si>
  <si>
    <t>Enter Number of input carriers</t>
  </si>
  <si>
    <t>carriers (minimum = 2)</t>
  </si>
  <si>
    <t>Output power per carrier</t>
  </si>
  <si>
    <t>Metric Conversions (For FCC forms, etc.)</t>
  </si>
  <si>
    <t>Convert Inches to Centimeters and meters</t>
  </si>
  <si>
    <t>inches</t>
  </si>
  <si>
    <t>cm</t>
  </si>
  <si>
    <t>meters</t>
  </si>
  <si>
    <t>Convert Feet to Meters/Kilometers</t>
  </si>
  <si>
    <t>feet</t>
  </si>
  <si>
    <t>kilometers</t>
  </si>
  <si>
    <t>Convert Miles to Meters and Kilometers</t>
  </si>
  <si>
    <t>Convert Meters to inches, feet, yards and miles</t>
  </si>
  <si>
    <t>yards (feet/3)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</si>
</sst>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0"/>
    <numFmt numFmtId="175" formatCode="00.0"/>
    <numFmt numFmtId="176" formatCode="000"/>
    <numFmt numFmtId="177" formatCode=";;;"/>
    <numFmt numFmtId="178" formatCode="0.0"/>
    <numFmt numFmtId="179" formatCode="0.000000000000"/>
    <numFmt numFmtId="180" formatCode="0.000000"/>
    <numFmt numFmtId="181" formatCode="0.0000000000000000000000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3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7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3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hidden="1"/>
    </xf>
    <xf numFmtId="177" fontId="4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3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8" fontId="0" fillId="0" borderId="0" xfId="0" applyNumberFormat="1" applyAlignment="1" applyProtection="1">
      <alignment/>
      <protection hidden="1"/>
    </xf>
    <xf numFmtId="178" fontId="0" fillId="0" borderId="0" xfId="0" applyNumberFormat="1" applyAlignment="1" applyProtection="1">
      <alignment/>
      <protection locked="0"/>
    </xf>
    <xf numFmtId="173" fontId="1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0.00390625" style="0" customWidth="1"/>
    <col min="2" max="2" width="11.7109375" style="0" customWidth="1"/>
    <col min="3" max="3" width="11.421875" style="0" customWidth="1"/>
    <col min="4" max="4" width="9.140625" style="1" customWidth="1"/>
    <col min="5" max="5" width="0.9921875" style="0" customWidth="1"/>
    <col min="6" max="6" width="9.8515625" style="0" customWidth="1"/>
  </cols>
  <sheetData>
    <row r="1" spans="1:10" ht="12.75">
      <c r="A1" s="4" t="s">
        <v>0</v>
      </c>
      <c r="B1" s="5"/>
      <c r="C1" s="5"/>
      <c r="D1" s="6"/>
      <c r="E1" s="5"/>
      <c r="F1" s="5"/>
      <c r="H1" s="5" t="s">
        <v>1</v>
      </c>
      <c r="I1" s="47">
        <v>37325</v>
      </c>
      <c r="J1" s="5"/>
    </row>
    <row r="2" spans="1:10" ht="12.75">
      <c r="A2" s="4" t="s">
        <v>2</v>
      </c>
      <c r="B2" s="5"/>
      <c r="C2" s="5"/>
      <c r="D2" s="6"/>
      <c r="E2" s="5"/>
      <c r="F2" s="5"/>
      <c r="G2" s="5"/>
      <c r="H2" s="5"/>
      <c r="I2" s="5"/>
      <c r="J2" s="5"/>
    </row>
    <row r="3" spans="1:10" ht="12.75">
      <c r="A3" s="13" t="s">
        <v>3</v>
      </c>
      <c r="B3" s="5"/>
      <c r="C3" s="5"/>
      <c r="D3" s="6"/>
      <c r="E3" s="5"/>
      <c r="F3" s="5"/>
      <c r="G3" s="5"/>
      <c r="H3" s="5"/>
      <c r="I3" s="5"/>
      <c r="J3" s="5"/>
    </row>
    <row r="4" spans="1:10" ht="12.75">
      <c r="A4" s="14" t="s">
        <v>4</v>
      </c>
      <c r="B4" s="5"/>
      <c r="C4" s="5"/>
      <c r="D4" s="6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6"/>
      <c r="E5" s="5"/>
      <c r="F5" s="5"/>
      <c r="G5" s="5"/>
      <c r="H5" s="5"/>
      <c r="I5" s="5"/>
      <c r="J5" s="5"/>
    </row>
    <row r="6" spans="1:10" s="34" customFormat="1" ht="12.75">
      <c r="A6" s="14" t="s">
        <v>5</v>
      </c>
      <c r="B6" s="14"/>
      <c r="C6" s="14"/>
      <c r="D6" s="38"/>
      <c r="E6" s="14"/>
      <c r="F6" s="14"/>
      <c r="G6" s="14"/>
      <c r="H6" s="14"/>
      <c r="I6" s="14"/>
      <c r="J6" s="14"/>
    </row>
    <row r="7" spans="1:10" s="34" customFormat="1" ht="12.75">
      <c r="A7" s="14"/>
      <c r="B7" s="14"/>
      <c r="C7" s="14"/>
      <c r="D7" s="38"/>
      <c r="E7" s="14"/>
      <c r="F7" s="14"/>
      <c r="G7" s="14"/>
      <c r="H7" s="14"/>
      <c r="I7" s="14"/>
      <c r="J7" s="14"/>
    </row>
    <row r="8" spans="1:10" ht="12.75">
      <c r="A8" s="4" t="s">
        <v>6</v>
      </c>
      <c r="B8" s="5"/>
      <c r="C8" s="5"/>
      <c r="D8" s="6"/>
      <c r="E8" s="5"/>
      <c r="F8" s="5"/>
      <c r="G8" s="5"/>
      <c r="H8" s="33"/>
      <c r="I8" s="5"/>
      <c r="J8" s="5"/>
    </row>
    <row r="9" spans="1:10" ht="12.75">
      <c r="A9" s="5" t="s">
        <v>7</v>
      </c>
      <c r="B9" s="3">
        <v>1270</v>
      </c>
      <c r="C9" s="5" t="s">
        <v>8</v>
      </c>
      <c r="D9" s="5"/>
      <c r="E9" s="5"/>
      <c r="F9" s="5"/>
      <c r="G9" s="5"/>
      <c r="H9" s="5"/>
      <c r="I9" s="5"/>
      <c r="J9" s="5"/>
    </row>
    <row r="10" spans="1:10" ht="12.75">
      <c r="A10" s="5" t="s">
        <v>7</v>
      </c>
      <c r="B10" s="3">
        <v>62</v>
      </c>
      <c r="C10" s="5" t="s">
        <v>9</v>
      </c>
      <c r="D10" s="5"/>
      <c r="E10" s="5"/>
      <c r="F10" s="5"/>
      <c r="G10" s="5"/>
      <c r="H10" s="5"/>
      <c r="I10" s="5"/>
      <c r="J10" s="5"/>
    </row>
    <row r="11" spans="1:10" ht="12.75">
      <c r="A11" s="5" t="s">
        <v>10</v>
      </c>
      <c r="B11" s="22">
        <f>36.6+(20*LOG(B9))+(20*LOG(B10))</f>
        <v>134.52390820908423</v>
      </c>
      <c r="C11" s="5" t="s">
        <v>11</v>
      </c>
      <c r="D11" s="5"/>
      <c r="E11" s="5"/>
      <c r="F11" s="5"/>
      <c r="G11" s="5"/>
      <c r="H11" s="5"/>
      <c r="I11" s="5"/>
      <c r="J11" s="5"/>
    </row>
    <row r="12" spans="1:10" ht="12.75">
      <c r="A12" s="5"/>
      <c r="B12" s="22"/>
      <c r="C12" s="5"/>
      <c r="D12" s="7"/>
      <c r="E12" s="5"/>
      <c r="F12" s="5"/>
      <c r="G12" s="5"/>
      <c r="H12" s="5"/>
      <c r="I12" s="5"/>
      <c r="J12" s="5"/>
    </row>
    <row r="13" spans="1:10" ht="12.75">
      <c r="A13" s="4" t="s">
        <v>12</v>
      </c>
      <c r="B13" s="5"/>
      <c r="C13" s="5"/>
      <c r="D13" s="7"/>
      <c r="E13" s="5"/>
      <c r="F13" s="5"/>
      <c r="G13" s="5"/>
      <c r="H13" s="5"/>
      <c r="I13" s="5"/>
      <c r="J13" s="5"/>
    </row>
    <row r="14" spans="1:10" ht="12.75">
      <c r="A14" s="5" t="s">
        <v>7</v>
      </c>
      <c r="B14" s="50">
        <v>12</v>
      </c>
      <c r="C14" s="5" t="s">
        <v>13</v>
      </c>
      <c r="D14" s="6"/>
      <c r="E14" s="5"/>
      <c r="F14" s="5"/>
      <c r="G14" s="5"/>
      <c r="H14" s="5"/>
      <c r="I14" s="5"/>
      <c r="J14" s="5"/>
    </row>
    <row r="15" spans="1:10" ht="12.75">
      <c r="A15" s="5" t="s">
        <v>10</v>
      </c>
      <c r="B15" s="22">
        <f>10*LOG(B14)+30</f>
        <v>40.79181246047625</v>
      </c>
      <c r="C15" s="5" t="s">
        <v>14</v>
      </c>
      <c r="D15" s="6"/>
      <c r="E15" s="5"/>
      <c r="F15" s="5"/>
      <c r="G15" s="5"/>
      <c r="H15" s="5"/>
      <c r="I15" s="5"/>
      <c r="J15" s="5"/>
    </row>
    <row r="16" spans="1:10" ht="12.75">
      <c r="A16" s="5" t="s">
        <v>10</v>
      </c>
      <c r="B16" s="22">
        <f>10*LOG(B14)</f>
        <v>10.79181246047625</v>
      </c>
      <c r="C16" s="5" t="s">
        <v>15</v>
      </c>
      <c r="D16" s="6"/>
      <c r="E16" s="5"/>
      <c r="F16" s="5"/>
      <c r="G16" s="5"/>
      <c r="H16" s="5"/>
      <c r="I16" s="5"/>
      <c r="J16" s="5"/>
    </row>
    <row r="17" spans="1:10" ht="12.75">
      <c r="A17" s="5"/>
      <c r="B17" s="5"/>
      <c r="C17" s="5"/>
      <c r="D17" s="7"/>
      <c r="E17" s="5"/>
      <c r="F17" s="5"/>
      <c r="G17" s="5"/>
      <c r="H17" s="5"/>
      <c r="I17" s="5"/>
      <c r="J17" s="5"/>
    </row>
    <row r="18" spans="1:10" ht="12.75">
      <c r="A18" s="4" t="s">
        <v>16</v>
      </c>
      <c r="B18" s="5"/>
      <c r="C18" s="5"/>
      <c r="D18" s="7"/>
      <c r="E18" s="5"/>
      <c r="F18" s="5"/>
      <c r="G18" s="5"/>
      <c r="H18" s="5"/>
      <c r="I18" s="5"/>
      <c r="J18" s="5"/>
    </row>
    <row r="19" spans="1:10" ht="12.75">
      <c r="A19" s="5" t="s">
        <v>7</v>
      </c>
      <c r="B19" s="3">
        <v>40</v>
      </c>
      <c r="C19" s="5" t="s">
        <v>14</v>
      </c>
      <c r="D19" s="6"/>
      <c r="E19" s="5"/>
      <c r="F19" s="5"/>
      <c r="G19" s="5"/>
      <c r="H19" s="5"/>
      <c r="I19" s="5"/>
      <c r="J19" s="5"/>
    </row>
    <row r="20" spans="1:10" ht="12.75">
      <c r="A20" s="5" t="s">
        <v>10</v>
      </c>
      <c r="B20" s="49">
        <f>10^(B19/10)/1000</f>
        <v>10</v>
      </c>
      <c r="C20" s="5" t="s">
        <v>17</v>
      </c>
      <c r="D20" s="6"/>
      <c r="E20" s="5"/>
      <c r="F20" s="5"/>
      <c r="G20" s="5"/>
      <c r="H20" s="5"/>
      <c r="I20" s="5"/>
      <c r="J20" s="5"/>
    </row>
    <row r="21" spans="1:10" ht="12.75">
      <c r="A21" s="5" t="s">
        <v>18</v>
      </c>
      <c r="B21" s="51">
        <f>B20*1000</f>
        <v>10000</v>
      </c>
      <c r="C21" s="5" t="s">
        <v>19</v>
      </c>
      <c r="D21" s="7"/>
      <c r="E21" s="5"/>
      <c r="F21" s="5"/>
      <c r="G21" s="5"/>
      <c r="H21" s="5"/>
      <c r="I21" s="5"/>
      <c r="J21" s="5"/>
    </row>
    <row r="22" spans="1:10" ht="12.75">
      <c r="A22" s="5"/>
      <c r="B22" s="5"/>
      <c r="C22" s="5"/>
      <c r="D22" s="7"/>
      <c r="E22" s="5"/>
      <c r="F22" s="5"/>
      <c r="G22" s="5"/>
      <c r="H22" s="5"/>
      <c r="I22" s="5"/>
      <c r="J22" s="5"/>
    </row>
    <row r="23" spans="1:10" ht="12.75">
      <c r="A23" s="4" t="s">
        <v>20</v>
      </c>
      <c r="B23" s="5"/>
      <c r="C23" s="5"/>
      <c r="D23" s="7"/>
      <c r="E23" s="5"/>
      <c r="F23" s="5"/>
      <c r="G23" s="5"/>
      <c r="H23" s="5"/>
      <c r="I23" s="5"/>
      <c r="J23" s="5"/>
    </row>
    <row r="24" spans="1:10" ht="12.75">
      <c r="A24" s="5" t="s">
        <v>7</v>
      </c>
      <c r="B24" s="3">
        <v>0.2</v>
      </c>
      <c r="C24" s="5" t="s">
        <v>21</v>
      </c>
      <c r="D24" s="6"/>
      <c r="E24" s="5"/>
      <c r="F24" s="5"/>
      <c r="G24" s="5"/>
      <c r="H24" s="5"/>
      <c r="I24" s="5"/>
      <c r="J24" s="5"/>
    </row>
    <row r="25" spans="1:10" ht="12.75">
      <c r="A25" s="5" t="s">
        <v>10</v>
      </c>
      <c r="B25" s="22">
        <f>10*LOG(((B24*0.000001)^2)/50)+30</f>
        <v>-120.96910013008056</v>
      </c>
      <c r="C25" s="5" t="s">
        <v>14</v>
      </c>
      <c r="D25" s="6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7"/>
      <c r="E26" s="5"/>
      <c r="F26" s="5"/>
      <c r="G26" s="5"/>
      <c r="H26" s="5"/>
      <c r="I26" s="5"/>
      <c r="J26" s="5"/>
    </row>
    <row r="27" spans="1:6" ht="12.75">
      <c r="A27" s="4" t="s">
        <v>22</v>
      </c>
      <c r="B27" s="5"/>
      <c r="C27" s="5"/>
      <c r="D27" s="7"/>
      <c r="E27" s="5"/>
      <c r="F27" s="5"/>
    </row>
    <row r="28" spans="1:6" ht="12.75">
      <c r="A28" s="5" t="s">
        <v>7</v>
      </c>
      <c r="B28" s="3">
        <v>-130</v>
      </c>
      <c r="C28" s="5" t="s">
        <v>14</v>
      </c>
      <c r="D28" s="5"/>
      <c r="E28" s="5"/>
      <c r="F28" s="5"/>
    </row>
    <row r="29" spans="1:6" ht="12.75">
      <c r="A29" s="5" t="s">
        <v>10</v>
      </c>
      <c r="B29" s="22">
        <f>SQRT((10^((B28+30)/10)*1000000)*50)</f>
        <v>0.07071067811865475</v>
      </c>
      <c r="C29" s="5" t="s">
        <v>21</v>
      </c>
      <c r="D29" s="5"/>
      <c r="E29" s="5"/>
      <c r="F29" s="5"/>
    </row>
    <row r="30" spans="1:6" ht="12.75">
      <c r="A30" s="5"/>
      <c r="B30" s="5"/>
      <c r="C30" s="5"/>
      <c r="D30" s="7"/>
      <c r="E30" s="5"/>
      <c r="F30" s="5"/>
    </row>
    <row r="31" spans="1:6" ht="12.75">
      <c r="A31" s="4" t="s">
        <v>23</v>
      </c>
      <c r="B31" s="5"/>
      <c r="C31" s="5"/>
      <c r="D31" s="7"/>
      <c r="E31" s="5"/>
      <c r="F31" s="5"/>
    </row>
    <row r="32" spans="1:10" ht="12.75">
      <c r="A32" s="5" t="s">
        <v>7</v>
      </c>
      <c r="B32" s="3">
        <v>-120</v>
      </c>
      <c r="C32" s="5" t="s">
        <v>15</v>
      </c>
      <c r="D32" s="6"/>
      <c r="E32" s="5"/>
      <c r="F32" s="5"/>
      <c r="G32" s="5"/>
      <c r="H32" s="5"/>
      <c r="I32" s="5"/>
      <c r="J32" s="5"/>
    </row>
    <row r="33" spans="1:10" ht="12.75">
      <c r="A33" s="5" t="s">
        <v>10</v>
      </c>
      <c r="B33" s="22">
        <f>SQRT((10^((B32+60)/10)*1000000)*50)</f>
        <v>7.0710678118654755</v>
      </c>
      <c r="C33" s="5" t="s">
        <v>21</v>
      </c>
      <c r="D33" s="6"/>
      <c r="E33" s="5"/>
      <c r="F33" s="5"/>
      <c r="G33" s="5"/>
      <c r="H33" s="5"/>
      <c r="I33" s="5"/>
      <c r="J33" s="5"/>
    </row>
    <row r="34" spans="1:10" ht="12.75">
      <c r="A34" s="5"/>
      <c r="B34" s="22"/>
      <c r="C34" s="5"/>
      <c r="D34" s="6"/>
      <c r="E34" s="5"/>
      <c r="F34" s="5"/>
      <c r="G34" s="5"/>
      <c r="H34" s="5"/>
      <c r="I34" s="5"/>
      <c r="J34" s="5"/>
    </row>
    <row r="35" spans="1:10" ht="12.75">
      <c r="A35" s="14" t="s">
        <v>24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 t="s">
        <v>25</v>
      </c>
      <c r="B36" s="18">
        <v>65.59</v>
      </c>
      <c r="C36" s="5" t="s">
        <v>26</v>
      </c>
      <c r="D36" s="5"/>
      <c r="E36" s="5"/>
      <c r="F36" s="5"/>
      <c r="G36" s="5"/>
      <c r="H36" s="5"/>
      <c r="I36" s="5"/>
      <c r="J36" s="5"/>
    </row>
    <row r="37" spans="1:10" ht="12.75">
      <c r="A37" s="5" t="s">
        <v>7</v>
      </c>
      <c r="B37" s="18">
        <v>850</v>
      </c>
      <c r="C37" s="5" t="s">
        <v>8</v>
      </c>
      <c r="D37" s="5"/>
      <c r="E37" s="5"/>
      <c r="F37" s="5"/>
      <c r="G37" s="5"/>
      <c r="H37" s="5"/>
      <c r="I37" s="5"/>
      <c r="J37" s="5"/>
    </row>
    <row r="38" spans="1:10" ht="12.75">
      <c r="A38" s="5" t="s">
        <v>10</v>
      </c>
      <c r="B38" s="22">
        <f>B36-75-(20*LOG(B37))</f>
        <v>-67.99837851428586</v>
      </c>
      <c r="C38" s="5" t="s">
        <v>14</v>
      </c>
      <c r="D38" s="5"/>
      <c r="E38" s="5"/>
      <c r="F38" s="5"/>
      <c r="G38" s="5"/>
      <c r="H38" s="5"/>
      <c r="I38" s="5"/>
      <c r="J38" s="5"/>
    </row>
    <row r="39" spans="1:10" ht="12.75">
      <c r="A39" s="5" t="s">
        <v>10</v>
      </c>
      <c r="B39" s="22">
        <f>SQRT((10^((B38+30)/10)*1000000)*50)</f>
        <v>89.03608931391311</v>
      </c>
      <c r="C39" s="5" t="s">
        <v>21</v>
      </c>
      <c r="D39" s="5"/>
      <c r="E39" s="5"/>
      <c r="F39" s="5"/>
      <c r="G39" s="5"/>
      <c r="H39" s="5"/>
      <c r="I39" s="5"/>
      <c r="J39" s="5"/>
    </row>
    <row r="40" spans="1:10" ht="12.75">
      <c r="A40" s="5"/>
      <c r="B40" s="22"/>
      <c r="C40" s="5"/>
      <c r="D40" s="6"/>
      <c r="E40" s="5"/>
      <c r="F40" s="5"/>
      <c r="G40" s="5"/>
      <c r="H40" s="5"/>
      <c r="I40" s="5"/>
      <c r="J40" s="5"/>
    </row>
    <row r="41" spans="1:10" ht="12.75">
      <c r="A41" s="4" t="s">
        <v>27</v>
      </c>
      <c r="B41" s="5"/>
      <c r="C41" s="5"/>
      <c r="D41" s="6"/>
      <c r="E41" s="5"/>
      <c r="F41" s="5"/>
      <c r="G41" s="5"/>
      <c r="H41" s="5"/>
      <c r="I41" s="5"/>
      <c r="J41" s="5"/>
    </row>
    <row r="42" spans="1:10" ht="12.75">
      <c r="A42" s="5" t="s">
        <v>25</v>
      </c>
      <c r="B42" s="3">
        <v>850</v>
      </c>
      <c r="C42" s="5" t="s">
        <v>8</v>
      </c>
      <c r="D42" s="5"/>
      <c r="E42" s="5"/>
      <c r="F42" s="5"/>
      <c r="G42" s="5"/>
      <c r="H42" s="5"/>
      <c r="I42" s="5"/>
      <c r="J42" s="5"/>
    </row>
    <row r="43" spans="1:10" ht="12.75">
      <c r="A43" s="5" t="s">
        <v>25</v>
      </c>
      <c r="B43" s="3">
        <v>-70</v>
      </c>
      <c r="C43" s="5" t="s">
        <v>14</v>
      </c>
      <c r="D43" s="5"/>
      <c r="E43" s="5"/>
      <c r="F43" s="5"/>
      <c r="G43" s="5"/>
      <c r="H43" s="5"/>
      <c r="I43" s="5"/>
      <c r="J43" s="5"/>
    </row>
    <row r="44" spans="1:10" ht="12.75">
      <c r="A44" s="5" t="s">
        <v>10</v>
      </c>
      <c r="B44" s="22">
        <f>75+(20*LOG(B42))+B43</f>
        <v>63.588378514285864</v>
      </c>
      <c r="C44" s="5" t="s">
        <v>28</v>
      </c>
      <c r="D44" s="5"/>
      <c r="E44" s="5"/>
      <c r="F44" s="5"/>
      <c r="G44" s="5"/>
      <c r="H44" s="5"/>
      <c r="I44" s="5"/>
      <c r="J44" s="5"/>
    </row>
    <row r="45" spans="1:10" ht="12.75">
      <c r="A45" s="5" t="s">
        <v>10</v>
      </c>
      <c r="B45" s="23">
        <f>10^(B44/20)/1000</f>
        <v>1.5115374985330867</v>
      </c>
      <c r="C45" s="5" t="s">
        <v>29</v>
      </c>
      <c r="D45" s="5"/>
      <c r="E45" s="5"/>
      <c r="F45" s="5"/>
      <c r="G45" s="5"/>
      <c r="H45" s="5"/>
      <c r="I45" s="5"/>
      <c r="J45" s="5"/>
    </row>
    <row r="46" spans="1:10" ht="12.75">
      <c r="A46" s="5"/>
      <c r="B46" s="22"/>
      <c r="C46" s="5"/>
      <c r="D46" s="6"/>
      <c r="E46" s="5"/>
      <c r="F46" s="5"/>
      <c r="G46" s="5"/>
      <c r="H46" s="5"/>
      <c r="I46" s="5"/>
      <c r="J46" s="5"/>
    </row>
    <row r="47" spans="1:10" ht="12.75">
      <c r="A47" s="14" t="s">
        <v>30</v>
      </c>
      <c r="B47" s="14"/>
      <c r="C47" s="14"/>
      <c r="D47" s="37"/>
      <c r="E47" s="14"/>
      <c r="F47" s="14"/>
      <c r="G47" s="5"/>
      <c r="H47" s="5"/>
      <c r="I47" s="5"/>
      <c r="J47" s="5"/>
    </row>
    <row r="48" spans="1:10" ht="12.75">
      <c r="A48" s="13" t="s">
        <v>31</v>
      </c>
      <c r="B48" s="13"/>
      <c r="C48" s="13"/>
      <c r="D48" s="48"/>
      <c r="E48" s="13"/>
      <c r="F48" s="13"/>
      <c r="G48" s="13"/>
      <c r="H48" s="5"/>
      <c r="I48" s="5"/>
      <c r="J48" s="5"/>
    </row>
    <row r="49" spans="1:10" ht="12.75">
      <c r="A49" s="5" t="s">
        <v>32</v>
      </c>
      <c r="B49" s="5"/>
      <c r="C49" s="18">
        <v>2</v>
      </c>
      <c r="D49" s="7" t="s">
        <v>33</v>
      </c>
      <c r="E49" s="5"/>
      <c r="F49" s="5"/>
      <c r="G49" s="5"/>
      <c r="H49" s="5"/>
      <c r="I49" s="5"/>
      <c r="J49" s="5"/>
    </row>
    <row r="50" spans="1:10" ht="12.75">
      <c r="A50" s="5" t="s">
        <v>34</v>
      </c>
      <c r="B50" s="5"/>
      <c r="C50" s="18">
        <v>0.5</v>
      </c>
      <c r="D50" s="7" t="s">
        <v>33</v>
      </c>
      <c r="E50" s="5"/>
      <c r="F50" s="5"/>
      <c r="G50" s="5"/>
      <c r="H50" s="5"/>
      <c r="I50" s="5"/>
      <c r="J50" s="5"/>
    </row>
    <row r="51" spans="1:10" ht="12.75">
      <c r="A51" s="5" t="s">
        <v>35</v>
      </c>
      <c r="B51" s="5"/>
      <c r="C51" s="22">
        <f>10*LOG(C49/C50)</f>
        <v>6.020599913279624</v>
      </c>
      <c r="D51" s="7" t="s">
        <v>36</v>
      </c>
      <c r="E51" s="5"/>
      <c r="G51" s="5"/>
      <c r="H51" s="5"/>
      <c r="I51" s="5"/>
      <c r="J51" s="5"/>
    </row>
    <row r="52" spans="1:10" ht="12.75">
      <c r="A52" s="5" t="s">
        <v>37</v>
      </c>
      <c r="B52" s="5"/>
      <c r="C52" s="22">
        <f>(1+SQRT(C50/C49))/(1-SQRT(C50/C49))</f>
        <v>3</v>
      </c>
      <c r="D52" s="7" t="s">
        <v>38</v>
      </c>
      <c r="E52" s="5"/>
      <c r="F52" s="7"/>
      <c r="G52" s="5"/>
      <c r="H52" s="5"/>
      <c r="I52" s="5"/>
      <c r="J52" s="5"/>
    </row>
    <row r="53" spans="1:10" ht="12.75">
      <c r="A53" s="5"/>
      <c r="B53" s="5"/>
      <c r="C53" s="5"/>
      <c r="D53" s="7"/>
      <c r="E53" s="5"/>
      <c r="F53" s="5"/>
      <c r="G53" s="5"/>
      <c r="H53" s="5"/>
      <c r="I53" s="5"/>
      <c r="J53" s="5"/>
    </row>
    <row r="54" spans="1:10" ht="12.75">
      <c r="A54" s="4" t="s">
        <v>39</v>
      </c>
      <c r="B54" s="5"/>
      <c r="C54" s="5"/>
      <c r="D54" s="7"/>
      <c r="E54" s="5"/>
      <c r="F54" s="5"/>
      <c r="G54" s="5"/>
      <c r="H54" s="5"/>
      <c r="I54" s="5"/>
      <c r="J54" s="5"/>
    </row>
    <row r="55" spans="1:10" ht="12.75">
      <c r="A55" s="5" t="s">
        <v>7</v>
      </c>
      <c r="B55" s="3">
        <v>0</v>
      </c>
      <c r="C55" s="5" t="s">
        <v>40</v>
      </c>
      <c r="D55" s="5"/>
      <c r="E55" s="5"/>
      <c r="F55" s="5"/>
      <c r="G55" s="5"/>
      <c r="H55" s="5"/>
      <c r="I55" s="5"/>
      <c r="J55" s="5"/>
    </row>
    <row r="56" spans="1:10" ht="12.75">
      <c r="A56" s="5" t="s">
        <v>7</v>
      </c>
      <c r="B56" s="3">
        <v>0</v>
      </c>
      <c r="C56" s="5" t="s">
        <v>41</v>
      </c>
      <c r="D56" s="5"/>
      <c r="E56" s="5"/>
      <c r="F56" s="5"/>
      <c r="G56" s="5"/>
      <c r="H56" s="5"/>
      <c r="I56" s="5"/>
      <c r="J56" s="5"/>
    </row>
    <row r="57" spans="1:10" ht="12.75">
      <c r="A57" s="5" t="s">
        <v>7</v>
      </c>
      <c r="B57" s="3">
        <v>10</v>
      </c>
      <c r="C57" s="5" t="s">
        <v>42</v>
      </c>
      <c r="D57" s="5"/>
      <c r="E57" s="5"/>
      <c r="F57" s="5"/>
      <c r="G57" s="5"/>
      <c r="H57" s="5"/>
      <c r="I57" s="5"/>
      <c r="J57" s="5"/>
    </row>
    <row r="58" spans="1:10" ht="12.75">
      <c r="A58" s="5" t="s">
        <v>25</v>
      </c>
      <c r="B58" s="3">
        <v>145</v>
      </c>
      <c r="C58" s="5" t="s">
        <v>8</v>
      </c>
      <c r="D58" s="5"/>
      <c r="E58" s="5"/>
      <c r="F58" s="5"/>
      <c r="G58" s="5"/>
      <c r="H58" s="5"/>
      <c r="I58" s="5"/>
      <c r="J58" s="5"/>
    </row>
    <row r="59" spans="1:10" ht="12.75">
      <c r="A59" s="5" t="s">
        <v>10</v>
      </c>
      <c r="B59" s="22">
        <f>28+40*LOG(B57/(984/B58))-B55-B56</f>
        <v>34.73491615214534</v>
      </c>
      <c r="C59" s="5" t="s">
        <v>43</v>
      </c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7"/>
      <c r="E60" s="5"/>
      <c r="F60" s="5"/>
      <c r="G60" s="5"/>
      <c r="H60" s="5"/>
      <c r="I60" s="5"/>
      <c r="J60" s="5"/>
    </row>
    <row r="61" spans="1:10" ht="12.75">
      <c r="A61" s="4" t="s">
        <v>44</v>
      </c>
      <c r="B61" s="5"/>
      <c r="C61" s="5"/>
      <c r="D61" s="7"/>
      <c r="E61" s="5"/>
      <c r="F61" s="5"/>
      <c r="G61" s="5"/>
      <c r="H61" s="5"/>
      <c r="I61" s="5"/>
      <c r="J61" s="5"/>
    </row>
    <row r="62" spans="1:10" ht="12.75">
      <c r="A62" s="5" t="s">
        <v>25</v>
      </c>
      <c r="B62" s="3">
        <v>0</v>
      </c>
      <c r="C62" s="5" t="s">
        <v>45</v>
      </c>
      <c r="D62" s="5"/>
      <c r="E62" s="5"/>
      <c r="F62" s="5"/>
      <c r="G62" s="5"/>
      <c r="H62" s="5"/>
      <c r="I62" s="5"/>
      <c r="J62" s="5"/>
    </row>
    <row r="63" spans="1:10" ht="12.75">
      <c r="A63" s="5" t="s">
        <v>25</v>
      </c>
      <c r="B63" s="3">
        <v>0</v>
      </c>
      <c r="C63" s="5" t="s">
        <v>46</v>
      </c>
      <c r="D63" s="5"/>
      <c r="E63" s="5"/>
      <c r="F63" s="5"/>
      <c r="G63" s="5"/>
      <c r="H63" s="5"/>
      <c r="I63" s="5"/>
      <c r="J63" s="5"/>
    </row>
    <row r="64" spans="1:10" ht="12.75">
      <c r="A64" s="5" t="s">
        <v>25</v>
      </c>
      <c r="B64" s="3">
        <v>10</v>
      </c>
      <c r="C64" s="5" t="s">
        <v>47</v>
      </c>
      <c r="D64" s="5"/>
      <c r="E64" s="5"/>
      <c r="F64" s="5"/>
      <c r="G64" s="5"/>
      <c r="H64" s="5"/>
      <c r="I64" s="5"/>
      <c r="J64" s="5"/>
    </row>
    <row r="65" spans="1:10" ht="12.75">
      <c r="A65" s="5" t="s">
        <v>25</v>
      </c>
      <c r="B65" s="3">
        <v>1270</v>
      </c>
      <c r="C65" s="5" t="s">
        <v>8</v>
      </c>
      <c r="D65" s="5"/>
      <c r="E65" s="5"/>
      <c r="F65" s="5"/>
      <c r="G65" s="5"/>
      <c r="H65" s="5"/>
      <c r="I65" s="5"/>
      <c r="J65" s="5"/>
    </row>
    <row r="66" spans="1:10" ht="12.75">
      <c r="A66" s="5" t="s">
        <v>10</v>
      </c>
      <c r="B66" s="22">
        <f>22+(20*LOG(B64/(984/B65)))-B62-B63</f>
        <v>44.21617245049231</v>
      </c>
      <c r="C66" s="5" t="s">
        <v>43</v>
      </c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6"/>
      <c r="E67" s="5"/>
      <c r="F67" s="5"/>
      <c r="G67" s="5"/>
      <c r="H67" s="5"/>
      <c r="I67" s="5"/>
      <c r="J67" s="5"/>
    </row>
    <row r="68" spans="1:10" ht="12.75">
      <c r="A68" s="4" t="s">
        <v>48</v>
      </c>
      <c r="B68" s="5"/>
      <c r="C68" s="5"/>
      <c r="D68" s="7"/>
      <c r="E68" s="5"/>
      <c r="F68" s="5"/>
      <c r="G68" s="5"/>
      <c r="H68" s="5"/>
      <c r="I68" s="5"/>
      <c r="J68" s="5"/>
    </row>
    <row r="69" spans="1:10" ht="12.75">
      <c r="A69" s="5" t="s">
        <v>7</v>
      </c>
      <c r="B69" s="3">
        <v>100</v>
      </c>
      <c r="C69" s="5" t="s">
        <v>49</v>
      </c>
      <c r="D69" s="5"/>
      <c r="E69" s="5"/>
      <c r="F69" s="5"/>
      <c r="G69" s="5"/>
      <c r="H69" s="5"/>
      <c r="I69" s="5"/>
      <c r="J69" s="5"/>
    </row>
    <row r="70" spans="1:10" ht="12.75">
      <c r="A70" s="5" t="s">
        <v>10</v>
      </c>
      <c r="B70" s="22">
        <f>SQRT(2*B69)</f>
        <v>14.142135623730951</v>
      </c>
      <c r="C70" s="5" t="s">
        <v>50</v>
      </c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6"/>
      <c r="E71" s="5"/>
      <c r="F71" s="5"/>
      <c r="G71" s="5"/>
      <c r="H71" s="5"/>
      <c r="I71" s="5"/>
      <c r="J71" s="5"/>
    </row>
    <row r="72" spans="1:10" ht="12.75">
      <c r="A72" s="4" t="s">
        <v>51</v>
      </c>
      <c r="B72" s="4"/>
      <c r="C72" s="4"/>
      <c r="D72" s="9"/>
      <c r="E72" s="4"/>
      <c r="F72" s="4"/>
      <c r="G72" s="4"/>
      <c r="H72" s="4"/>
      <c r="I72" s="5"/>
      <c r="J72" s="5"/>
    </row>
    <row r="73" spans="1:10" ht="12.75">
      <c r="A73" s="4" t="s">
        <v>52</v>
      </c>
      <c r="B73" s="5"/>
      <c r="C73" s="5"/>
      <c r="D73" s="6"/>
      <c r="E73" s="5"/>
      <c r="F73" s="5"/>
      <c r="G73" s="5"/>
      <c r="H73" s="5"/>
      <c r="I73" s="5"/>
      <c r="J73" s="5"/>
    </row>
    <row r="74" spans="1:10" ht="12.75">
      <c r="A74" s="5" t="s">
        <v>7</v>
      </c>
      <c r="B74" s="3">
        <v>100</v>
      </c>
      <c r="C74" s="5" t="s">
        <v>53</v>
      </c>
      <c r="D74" s="5"/>
      <c r="E74" s="5"/>
      <c r="F74" s="5"/>
      <c r="G74" s="5"/>
      <c r="H74" s="5"/>
      <c r="I74" s="5"/>
      <c r="J74" s="5"/>
    </row>
    <row r="75" spans="1:10" ht="12.75">
      <c r="A75" s="5" t="s">
        <v>7</v>
      </c>
      <c r="B75" s="3">
        <v>10</v>
      </c>
      <c r="C75" s="5" t="s">
        <v>54</v>
      </c>
      <c r="D75" s="5"/>
      <c r="E75" s="5"/>
      <c r="F75" s="5"/>
      <c r="G75" s="5"/>
      <c r="H75" s="5"/>
      <c r="I75" s="5"/>
      <c r="J75" s="5"/>
    </row>
    <row r="76" spans="1:10" ht="12.75">
      <c r="A76" s="5" t="s">
        <v>25</v>
      </c>
      <c r="B76" s="3">
        <v>4</v>
      </c>
      <c r="C76" s="5" t="s">
        <v>55</v>
      </c>
      <c r="D76" s="5"/>
      <c r="E76" s="5"/>
      <c r="F76" s="5"/>
      <c r="G76" s="5"/>
      <c r="H76" s="5"/>
      <c r="I76" s="5"/>
      <c r="J76" s="5"/>
    </row>
    <row r="77" spans="1:10" ht="12.75">
      <c r="A77" s="5" t="s">
        <v>10</v>
      </c>
      <c r="B77" s="22">
        <f>SQRT(2*B74)</f>
        <v>14.142135623730951</v>
      </c>
      <c r="C77" s="5" t="s">
        <v>56</v>
      </c>
      <c r="D77" s="5"/>
      <c r="E77" s="5"/>
      <c r="F77" s="5"/>
      <c r="G77" s="5"/>
      <c r="H77" s="5"/>
      <c r="I77" s="8"/>
      <c r="J77" s="5"/>
    </row>
    <row r="78" spans="1:10" ht="12.75">
      <c r="A78" s="5" t="s">
        <v>10</v>
      </c>
      <c r="B78" s="22">
        <f>IF(G78&gt;B77,B77,G78)</f>
        <v>0.11949809190737198</v>
      </c>
      <c r="C78" s="5" t="s">
        <v>57</v>
      </c>
      <c r="D78" s="6"/>
      <c r="E78" s="5"/>
      <c r="F78" s="5"/>
      <c r="G78" s="11">
        <f>B74*(TAN((90/57.3)-((B76/57.3)+(B75/2/57.3))))/5280</f>
        <v>0.11949809190737198</v>
      </c>
      <c r="H78" s="5"/>
      <c r="I78" s="8"/>
      <c r="J78" s="5"/>
    </row>
    <row r="79" spans="1:10" ht="12.75">
      <c r="A79" s="5" t="s">
        <v>10</v>
      </c>
      <c r="B79" s="22">
        <f>IF(G79&gt;B77,B77,G79)</f>
        <v>0.27041632172497987</v>
      </c>
      <c r="C79" s="5" t="s">
        <v>58</v>
      </c>
      <c r="D79" s="6"/>
      <c r="E79" s="5"/>
      <c r="F79" s="5"/>
      <c r="G79" s="11">
        <f>B74*(TAN((90/57.3)-(B76/57.3)))/5280</f>
        <v>0.27041632172497987</v>
      </c>
      <c r="H79" s="12"/>
      <c r="I79" s="8"/>
      <c r="J79" s="5"/>
    </row>
    <row r="80" spans="1:10" ht="12.75">
      <c r="A80" s="5" t="s">
        <v>10</v>
      </c>
      <c r="B80" s="22" t="str">
        <f>IF(A81&lt;0,"&gt; Horizon",A81)</f>
        <v>&gt; Horizon</v>
      </c>
      <c r="C80" s="5" t="s">
        <v>59</v>
      </c>
      <c r="D80" s="6"/>
      <c r="E80" s="5"/>
      <c r="F80" s="5"/>
      <c r="G80" s="11">
        <f>B74*(TAN((90/57.3)-((B76/57.3)-(B75/2/57.3))))/5280</f>
        <v>-1.092360380566315</v>
      </c>
      <c r="H80" s="5"/>
      <c r="I80" s="5"/>
      <c r="J80" s="5"/>
    </row>
    <row r="81" spans="1:10" ht="12.75">
      <c r="A81" s="11">
        <f>IF(G80&gt;B77,"&gt; Horizon",G80)</f>
        <v>-1.092360380566315</v>
      </c>
      <c r="B81" s="5"/>
      <c r="C81" s="5"/>
      <c r="D81" s="6"/>
      <c r="E81" s="5"/>
      <c r="F81" s="5"/>
      <c r="G81" s="5"/>
      <c r="H81" s="5"/>
      <c r="I81" s="4"/>
      <c r="J81" s="5"/>
    </row>
    <row r="82" spans="1:10" ht="12.75">
      <c r="A82" s="4" t="s">
        <v>60</v>
      </c>
      <c r="B82" s="5"/>
      <c r="C82" s="5"/>
      <c r="D82" s="6"/>
      <c r="E82" s="5"/>
      <c r="F82" s="5"/>
      <c r="G82" s="5"/>
      <c r="H82" s="5"/>
      <c r="I82" s="5"/>
      <c r="J82" s="5"/>
    </row>
    <row r="83" spans="1:10" ht="13.5" customHeight="1">
      <c r="A83" s="5" t="s">
        <v>7</v>
      </c>
      <c r="B83" s="3">
        <v>1270</v>
      </c>
      <c r="C83" s="5" t="s">
        <v>61</v>
      </c>
      <c r="D83" s="5"/>
      <c r="E83" s="5"/>
      <c r="F83" s="5"/>
      <c r="G83" s="5"/>
      <c r="H83" s="5"/>
      <c r="I83" s="5"/>
      <c r="J83" s="5"/>
    </row>
    <row r="84" spans="1:10" ht="13.5" customHeight="1">
      <c r="A84" s="5" t="s">
        <v>7</v>
      </c>
      <c r="B84" s="3">
        <v>46</v>
      </c>
      <c r="C84" s="5" t="s">
        <v>62</v>
      </c>
      <c r="D84" s="6"/>
      <c r="E84" s="5"/>
      <c r="F84" s="5"/>
      <c r="G84" s="5"/>
      <c r="H84" s="11">
        <f>36.6+(20*LOG(B83))+(20*LOG(B77))</f>
        <v>121.68637437575896</v>
      </c>
      <c r="I84" s="5"/>
      <c r="J84" s="5"/>
    </row>
    <row r="85" spans="1:10" ht="12" customHeight="1">
      <c r="A85" s="10" t="s">
        <v>63</v>
      </c>
      <c r="B85" s="7">
        <f>B78</f>
        <v>0.11949809190737198</v>
      </c>
      <c r="C85" s="7" t="s">
        <v>64</v>
      </c>
      <c r="D85" s="24">
        <f>(B84-H85)-3</f>
        <v>-37.223293833469185</v>
      </c>
      <c r="E85" s="5" t="s">
        <v>14</v>
      </c>
      <c r="F85" s="5"/>
      <c r="G85" s="5"/>
      <c r="H85" s="11">
        <f>36.6+(20*LOG(B83))+(20*LOG(B78))</f>
        <v>80.22329383346919</v>
      </c>
      <c r="I85" s="5"/>
      <c r="J85" s="5"/>
    </row>
    <row r="86" spans="1:10" ht="12.75">
      <c r="A86" s="10" t="s">
        <v>63</v>
      </c>
      <c r="B86" s="7">
        <f>B79</f>
        <v>0.27041632172497987</v>
      </c>
      <c r="C86" s="7" t="s">
        <v>64</v>
      </c>
      <c r="D86" s="24">
        <f>B84-H86</f>
        <v>-41.31673244122476</v>
      </c>
      <c r="E86" s="5" t="s">
        <v>14</v>
      </c>
      <c r="F86" s="5"/>
      <c r="G86" s="5"/>
      <c r="H86" s="11">
        <f>36.6+(20*LOG(B83))+(20*LOG(B79))</f>
        <v>87.31673244122476</v>
      </c>
      <c r="I86" s="5"/>
      <c r="J86" s="5"/>
    </row>
    <row r="87" spans="1:10" ht="12.75">
      <c r="A87" s="10" t="s">
        <v>63</v>
      </c>
      <c r="B87" s="7">
        <f>IF(B80="&gt; Horizon",B77,B80)</f>
        <v>14.142135623730951</v>
      </c>
      <c r="C87" s="7" t="s">
        <v>64</v>
      </c>
      <c r="D87" s="24">
        <f>IF(B86&lt;B87,(B84-H87)-3,D86)</f>
        <v>-78.68637437575896</v>
      </c>
      <c r="E87" s="5" t="s">
        <v>65</v>
      </c>
      <c r="F87" s="5"/>
      <c r="G87" s="5"/>
      <c r="H87" s="11">
        <f>IF(B80="&gt; Horizon",36.6+(20*LOG(B83))+(20*LOG(B77)),36.6+(20*LOG(B83))+(20*LOG(B80)))</f>
        <v>121.68637437575896</v>
      </c>
      <c r="I87" s="5"/>
      <c r="J87" s="5"/>
    </row>
    <row r="88" spans="9:10" ht="12.75">
      <c r="I88" s="5"/>
      <c r="J88" s="5"/>
    </row>
    <row r="89" spans="1:10" ht="12.75">
      <c r="A89" s="14" t="s">
        <v>66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 t="s">
        <v>67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8" t="s">
        <v>68</v>
      </c>
      <c r="C91" s="8" t="s">
        <v>69</v>
      </c>
      <c r="D91" s="8" t="s">
        <v>70</v>
      </c>
      <c r="E91" s="5"/>
      <c r="F91" s="5"/>
      <c r="G91" s="5"/>
      <c r="H91" s="5"/>
      <c r="I91" s="5"/>
      <c r="J91" s="5"/>
    </row>
    <row r="92" spans="1:10" ht="12.75">
      <c r="A92" s="5" t="s">
        <v>7</v>
      </c>
      <c r="B92" s="18">
        <v>30</v>
      </c>
      <c r="C92" s="18">
        <v>30.25</v>
      </c>
      <c r="D92" s="5" t="s">
        <v>71</v>
      </c>
      <c r="E92" s="5"/>
      <c r="F92" s="5" t="s">
        <v>72</v>
      </c>
      <c r="G92" s="5"/>
      <c r="H92" s="5"/>
      <c r="I92" s="5"/>
      <c r="J92" s="5"/>
    </row>
    <row r="93" spans="1:10" ht="12.75">
      <c r="A93" s="5" t="s">
        <v>10</v>
      </c>
      <c r="B93" s="2">
        <f>B92</f>
        <v>30</v>
      </c>
      <c r="C93" s="2">
        <f>INT(C92)</f>
        <v>30</v>
      </c>
      <c r="D93" s="25">
        <f>60*(C92-C93)</f>
        <v>15</v>
      </c>
      <c r="E93" s="5"/>
      <c r="F93" s="5" t="s">
        <v>73</v>
      </c>
      <c r="G93" s="5"/>
      <c r="H93" s="5"/>
      <c r="I93" s="5"/>
      <c r="J93" s="5"/>
    </row>
    <row r="94" spans="1:10" ht="12.75">
      <c r="A94" s="5" t="s">
        <v>10</v>
      </c>
      <c r="B94" s="2">
        <f>B92+(C92/60)</f>
        <v>30.504166666666666</v>
      </c>
      <c r="C94" s="26" t="s">
        <v>74</v>
      </c>
      <c r="D94" s="27" t="s">
        <v>74</v>
      </c>
      <c r="E94" s="5"/>
      <c r="F94" s="5" t="s">
        <v>75</v>
      </c>
      <c r="G94" s="5"/>
      <c r="H94" s="5"/>
      <c r="I94" s="5"/>
      <c r="J94" s="5"/>
    </row>
    <row r="95" spans="9:10" ht="12.75">
      <c r="I95" s="5"/>
      <c r="J95" s="5"/>
    </row>
    <row r="96" spans="1:10" ht="12.75">
      <c r="A96" s="14" t="s">
        <v>76</v>
      </c>
      <c r="B96" s="5"/>
      <c r="C96" s="5"/>
      <c r="D96" s="6"/>
      <c r="E96" s="5"/>
      <c r="F96" s="5"/>
      <c r="G96" s="5"/>
      <c r="H96" s="5"/>
      <c r="I96" s="5"/>
      <c r="J96" s="5"/>
    </row>
    <row r="97" spans="1:10" ht="12.75">
      <c r="A97" s="5"/>
      <c r="B97" s="8" t="s">
        <v>68</v>
      </c>
      <c r="C97" s="8" t="s">
        <v>69</v>
      </c>
      <c r="D97" s="16" t="s">
        <v>70</v>
      </c>
      <c r="E97" s="5"/>
      <c r="F97" s="5"/>
      <c r="G97" s="5"/>
      <c r="H97" s="5"/>
      <c r="I97" s="5"/>
      <c r="J97" s="5"/>
    </row>
    <row r="98" spans="1:10" ht="12.75">
      <c r="A98" s="5" t="s">
        <v>7</v>
      </c>
      <c r="B98" s="18">
        <v>30</v>
      </c>
      <c r="C98" s="18">
        <v>30</v>
      </c>
      <c r="D98" s="17">
        <v>15</v>
      </c>
      <c r="E98" s="5"/>
      <c r="F98" s="5" t="s">
        <v>73</v>
      </c>
      <c r="G98" s="5"/>
      <c r="H98" s="5"/>
      <c r="I98" s="5"/>
      <c r="J98" s="5"/>
    </row>
    <row r="99" spans="1:10" ht="12.75">
      <c r="A99" s="5" t="s">
        <v>10</v>
      </c>
      <c r="B99" s="2">
        <f>B98</f>
        <v>30</v>
      </c>
      <c r="C99" s="25">
        <f>(C98*3600+D98*60)/3600</f>
        <v>30.25</v>
      </c>
      <c r="D99" s="26" t="s">
        <v>74</v>
      </c>
      <c r="E99" s="2"/>
      <c r="F99" s="5" t="s">
        <v>72</v>
      </c>
      <c r="G99" s="5"/>
      <c r="H99" s="5"/>
      <c r="I99" s="5"/>
      <c r="J99" s="5"/>
    </row>
    <row r="100" spans="1:10" ht="12.75">
      <c r="A100" s="5" t="s">
        <v>10</v>
      </c>
      <c r="B100" s="2">
        <f>B99+(C99/60)</f>
        <v>30.504166666666666</v>
      </c>
      <c r="C100" s="26" t="s">
        <v>74</v>
      </c>
      <c r="D100" s="26" t="s">
        <v>74</v>
      </c>
      <c r="E100" s="2"/>
      <c r="F100" s="5" t="s">
        <v>75</v>
      </c>
      <c r="G100" s="5"/>
      <c r="H100" s="5"/>
      <c r="I100" s="5"/>
      <c r="J100" s="5"/>
    </row>
    <row r="101" spans="8:9" ht="12.75">
      <c r="H101" s="5"/>
      <c r="I101" s="5"/>
    </row>
    <row r="102" spans="1:9" ht="12.75">
      <c r="A102" s="14" t="s">
        <v>77</v>
      </c>
      <c r="B102" s="5"/>
      <c r="C102" s="5"/>
      <c r="D102" s="6"/>
      <c r="E102" s="5"/>
      <c r="F102" s="5"/>
      <c r="G102" s="5"/>
      <c r="H102" s="5"/>
      <c r="I102" s="5"/>
    </row>
    <row r="103" spans="1:8" ht="12.75">
      <c r="A103" s="5"/>
      <c r="B103" s="8" t="s">
        <v>68</v>
      </c>
      <c r="C103" s="8" t="s">
        <v>69</v>
      </c>
      <c r="D103" s="16" t="s">
        <v>70</v>
      </c>
      <c r="E103" s="5"/>
      <c r="F103" s="5"/>
      <c r="G103" s="5"/>
      <c r="H103" s="5"/>
    </row>
    <row r="104" spans="1:9" ht="12.75">
      <c r="A104" s="5" t="s">
        <v>7</v>
      </c>
      <c r="B104" s="18">
        <v>30.5504167</v>
      </c>
      <c r="C104" s="8" t="s">
        <v>74</v>
      </c>
      <c r="D104" s="16" t="s">
        <v>74</v>
      </c>
      <c r="E104" s="5" t="s">
        <v>75</v>
      </c>
      <c r="G104" s="11">
        <f>B104-(INT(B104))</f>
        <v>0.5504166999999995</v>
      </c>
      <c r="H104" s="5"/>
      <c r="I104" s="5"/>
    </row>
    <row r="105" spans="1:9" ht="12.75">
      <c r="A105" s="5" t="s">
        <v>10</v>
      </c>
      <c r="B105" s="2">
        <f>INT(B104)</f>
        <v>30</v>
      </c>
      <c r="C105" s="2">
        <f>INT(60*G104)</f>
        <v>33</v>
      </c>
      <c r="D105" s="25">
        <f>G105*60</f>
        <v>1.5001199999983328</v>
      </c>
      <c r="E105" s="5" t="s">
        <v>73</v>
      </c>
      <c r="G105" s="11">
        <f>60*G104-C105</f>
        <v>0.025001999999972213</v>
      </c>
      <c r="H105" s="5"/>
      <c r="I105" s="5"/>
    </row>
    <row r="106" spans="1:9" ht="12.75">
      <c r="A106" s="5" t="s">
        <v>10</v>
      </c>
      <c r="B106" s="2">
        <f>B105</f>
        <v>30</v>
      </c>
      <c r="C106" s="2">
        <f>60*G104</f>
        <v>33.02500199999997</v>
      </c>
      <c r="D106" s="26" t="s">
        <v>74</v>
      </c>
      <c r="E106" s="5" t="s">
        <v>72</v>
      </c>
      <c r="G106" s="2"/>
      <c r="H106" s="5"/>
      <c r="I106" s="5"/>
    </row>
    <row r="107" ht="12.75">
      <c r="I107" s="5"/>
    </row>
    <row r="108" spans="1:9" ht="12.75">
      <c r="A108" s="4" t="s">
        <v>78</v>
      </c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 t="s">
        <v>79</v>
      </c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2" t="s">
        <v>7</v>
      </c>
      <c r="B110" s="2"/>
      <c r="C110" s="26" t="s">
        <v>80</v>
      </c>
      <c r="D110" s="2"/>
      <c r="E110" s="19">
        <f>B112+(C112/60)+(D112/3600)</f>
        <v>34.5</v>
      </c>
      <c r="F110" s="2"/>
      <c r="G110" s="26" t="s">
        <v>81</v>
      </c>
      <c r="H110" s="2"/>
      <c r="I110" s="5"/>
    </row>
    <row r="111" spans="1:10" ht="12.75">
      <c r="A111" s="2" t="s">
        <v>82</v>
      </c>
      <c r="B111" s="26" t="s">
        <v>83</v>
      </c>
      <c r="C111" s="26" t="s">
        <v>84</v>
      </c>
      <c r="D111" s="26" t="s">
        <v>85</v>
      </c>
      <c r="E111" s="20">
        <f>F112+(G112/60)+(H112/3600)</f>
        <v>116.5</v>
      </c>
      <c r="F111" s="26" t="s">
        <v>86</v>
      </c>
      <c r="G111" s="26" t="s">
        <v>84</v>
      </c>
      <c r="H111" s="26" t="s">
        <v>85</v>
      </c>
      <c r="I111" s="5"/>
      <c r="J111" s="5"/>
    </row>
    <row r="112" spans="1:10" ht="12.75">
      <c r="A112" s="28" t="s">
        <v>87</v>
      </c>
      <c r="B112" s="21">
        <v>34</v>
      </c>
      <c r="C112" s="21">
        <v>30</v>
      </c>
      <c r="D112" s="21">
        <v>0</v>
      </c>
      <c r="E112" s="20">
        <f>B113+(C113/60)+(D113/3600)</f>
        <v>33.75</v>
      </c>
      <c r="F112" s="21">
        <v>116</v>
      </c>
      <c r="G112" s="21">
        <v>30</v>
      </c>
      <c r="H112" s="21">
        <v>0</v>
      </c>
      <c r="J112" s="5"/>
    </row>
    <row r="113" spans="1:10" ht="12.75">
      <c r="A113" s="28" t="s">
        <v>88</v>
      </c>
      <c r="B113" s="21">
        <v>33</v>
      </c>
      <c r="C113" s="21">
        <v>45</v>
      </c>
      <c r="D113" s="21">
        <v>0</v>
      </c>
      <c r="E113" s="20">
        <f>F113+(G113/60)+(H113/3600)</f>
        <v>116.75833333333334</v>
      </c>
      <c r="F113" s="21">
        <v>116</v>
      </c>
      <c r="G113" s="21">
        <v>45</v>
      </c>
      <c r="H113" s="21">
        <v>30</v>
      </c>
      <c r="I113" s="5"/>
      <c r="J113" s="5"/>
    </row>
    <row r="114" spans="1:10" ht="12.75">
      <c r="A114" s="28" t="s">
        <v>10</v>
      </c>
      <c r="B114" s="29">
        <f>((DLat^2)+(DLon^2))^0.5</f>
        <v>53.771665982947724</v>
      </c>
      <c r="C114" s="30" t="s">
        <v>89</v>
      </c>
      <c r="D114" s="2"/>
      <c r="E114" s="2"/>
      <c r="F114" s="26"/>
      <c r="G114" s="2"/>
      <c r="H114" s="2"/>
      <c r="I114" s="5"/>
      <c r="J114" s="5"/>
    </row>
    <row r="115" spans="1:10" ht="12.75">
      <c r="A115" s="2" t="s">
        <v>10</v>
      </c>
      <c r="B115" s="31">
        <f>AtoB</f>
        <v>195.98531948074904</v>
      </c>
      <c r="C115" s="2" t="s">
        <v>90</v>
      </c>
      <c r="D115" s="26"/>
      <c r="E115" s="2"/>
      <c r="F115" s="2"/>
      <c r="G115" s="2"/>
      <c r="H115" s="2"/>
      <c r="I115" s="20">
        <f>((ALat+BLat)/2)*(3.141593/180)</f>
        <v>0.5955936729166666</v>
      </c>
      <c r="J115" s="2"/>
    </row>
    <row r="116" spans="1:10" ht="12.75">
      <c r="A116" s="2" t="s">
        <v>10</v>
      </c>
      <c r="B116" s="31">
        <f>BtoA</f>
        <v>15.98531948074903</v>
      </c>
      <c r="C116" s="32" t="s">
        <v>91</v>
      </c>
      <c r="D116" s="26"/>
      <c r="E116" s="26"/>
      <c r="F116" s="2"/>
      <c r="G116" s="2"/>
      <c r="H116" s="26"/>
      <c r="I116" s="20">
        <f>69.054141-0.3517626*COS(2*I115)+0.000746*COS(4*I115)</f>
        <v>68.92325166583036</v>
      </c>
      <c r="J116" s="2"/>
    </row>
    <row r="117" spans="9:10" ht="12.75">
      <c r="I117" s="20">
        <f>69.230014*COS(I115)-0.0587505*COS(3*I115)+0.000075*COS(5*I115)</f>
        <v>57.32220194862871</v>
      </c>
      <c r="J117" s="2"/>
    </row>
    <row r="118" spans="1:10" ht="12.75">
      <c r="A118" s="34" t="s">
        <v>92</v>
      </c>
      <c r="H118" s="5"/>
      <c r="I118" s="20">
        <f>ABS(BLat-ALat)*I116</f>
        <v>51.69243874937277</v>
      </c>
      <c r="J118" s="2"/>
    </row>
    <row r="119" spans="9:10" ht="12.75">
      <c r="I119" s="20">
        <f>ABS(ALon-BLon)*I117</f>
        <v>14.80823550339613</v>
      </c>
      <c r="J119" s="2"/>
    </row>
    <row r="120" spans="1:10" ht="12.75">
      <c r="A120" s="14" t="s">
        <v>93</v>
      </c>
      <c r="B120" s="14"/>
      <c r="C120" s="5"/>
      <c r="D120" s="7"/>
      <c r="I120" s="20">
        <f>IF(BLat&gt;=ALat,IF(ALon&gt;=BLon,DEGREES(ATAN2(DLat,DLon)),BtoA+180),IF(BLon&gt;=ALon,BtoA+180,DEGREES(ATAN2(DLon,DLat))+90))</f>
        <v>195.98531948074904</v>
      </c>
      <c r="J120" s="2"/>
    </row>
    <row r="121" spans="1:10" ht="12.75">
      <c r="A121" s="14" t="s">
        <v>94</v>
      </c>
      <c r="B121" s="14"/>
      <c r="C121" s="5"/>
      <c r="D121" s="7"/>
      <c r="I121" s="20"/>
      <c r="J121" s="2"/>
    </row>
    <row r="122" spans="1:10" ht="12.75">
      <c r="A122" s="5" t="s">
        <v>7</v>
      </c>
      <c r="B122" s="18">
        <v>850</v>
      </c>
      <c r="C122" s="5" t="s">
        <v>8</v>
      </c>
      <c r="D122" s="7"/>
      <c r="I122" s="20">
        <f>IF(BLat&gt;=ALat,IF(ALon&gt;=BLon,AtoB+180,DEGREES(ATAN2(DLon,DLat))+90),IF(BLon&gt;=ALon,DEGREES(ATAN2(DLat,DLon)),AtoB+180))</f>
        <v>15.98531948074903</v>
      </c>
      <c r="J122" s="2"/>
    </row>
    <row r="123" spans="1:10" ht="12.75">
      <c r="A123" s="5" t="s">
        <v>7</v>
      </c>
      <c r="B123" s="18">
        <v>3000</v>
      </c>
      <c r="C123" s="5" t="s">
        <v>95</v>
      </c>
      <c r="D123" s="7"/>
      <c r="I123" s="5"/>
      <c r="J123" s="5"/>
    </row>
    <row r="124" spans="1:10" ht="12.75">
      <c r="A124" s="5" t="s">
        <v>10</v>
      </c>
      <c r="B124" s="22">
        <f>36.6+(20*LOG(B122))+(20*LOG(B123/5280))</f>
        <v>90.27812515800287</v>
      </c>
      <c r="C124" s="5" t="s">
        <v>96</v>
      </c>
      <c r="D124" s="7"/>
      <c r="I124" s="5"/>
      <c r="J124" s="5"/>
    </row>
    <row r="126" spans="1:5" ht="12.75">
      <c r="A126" s="14" t="s">
        <v>97</v>
      </c>
      <c r="B126" s="7"/>
      <c r="C126" s="5"/>
      <c r="D126" s="7"/>
      <c r="E126" s="5"/>
    </row>
    <row r="127" spans="1:7" ht="12.75">
      <c r="A127" s="5" t="s">
        <v>98</v>
      </c>
      <c r="B127" s="7"/>
      <c r="C127" s="5"/>
      <c r="D127" s="7"/>
      <c r="E127" s="5"/>
      <c r="F127" s="5"/>
      <c r="G127" s="5"/>
    </row>
    <row r="128" spans="1:7" ht="12.75">
      <c r="A128" s="5" t="s">
        <v>99</v>
      </c>
      <c r="B128" s="7"/>
      <c r="C128" s="5"/>
      <c r="D128" s="7"/>
      <c r="E128" s="5"/>
      <c r="F128" s="5"/>
      <c r="G128" s="5"/>
    </row>
    <row r="129" spans="1:5" ht="12.75">
      <c r="A129" s="5" t="s">
        <v>100</v>
      </c>
      <c r="B129" s="7"/>
      <c r="C129" s="18">
        <v>-30</v>
      </c>
      <c r="D129" s="7" t="s">
        <v>14</v>
      </c>
      <c r="E129" s="11">
        <f>10^(C129/10)/1000</f>
        <v>1E-06</v>
      </c>
    </row>
    <row r="130" spans="1:5" ht="12.75">
      <c r="A130" s="5" t="s">
        <v>101</v>
      </c>
      <c r="B130" s="7"/>
      <c r="C130" s="18">
        <v>-30</v>
      </c>
      <c r="D130" s="7" t="s">
        <v>14</v>
      </c>
      <c r="E130" s="11">
        <f>10^(C130/10)/1000</f>
        <v>1E-06</v>
      </c>
    </row>
    <row r="131" spans="1:5" ht="12.75">
      <c r="A131" s="5" t="s">
        <v>102</v>
      </c>
      <c r="B131" s="7"/>
      <c r="C131" s="18">
        <v>-200</v>
      </c>
      <c r="D131" s="7" t="s">
        <v>14</v>
      </c>
      <c r="E131" s="11">
        <f>10^(C131/10)/1000</f>
        <v>1E-23</v>
      </c>
    </row>
    <row r="132" spans="1:5" ht="12.75">
      <c r="A132" s="5" t="s">
        <v>103</v>
      </c>
      <c r="B132" s="7"/>
      <c r="C132" s="18">
        <v>-200</v>
      </c>
      <c r="D132" s="7" t="s">
        <v>14</v>
      </c>
      <c r="E132" s="11">
        <f>10^(C132/10)/1000</f>
        <v>1E-23</v>
      </c>
    </row>
    <row r="133" spans="1:5" ht="12.75">
      <c r="A133" s="5" t="s">
        <v>104</v>
      </c>
      <c r="B133" s="7"/>
      <c r="C133" s="22">
        <f>10*LOG(E133)+30</f>
        <v>-26.989700043360187</v>
      </c>
      <c r="D133" s="7" t="s">
        <v>14</v>
      </c>
      <c r="E133" s="11">
        <f>E129+E130+E131+E132</f>
        <v>2E-06</v>
      </c>
    </row>
    <row r="135" spans="1:6" ht="12.75">
      <c r="A135" s="14" t="s">
        <v>105</v>
      </c>
      <c r="B135" s="5"/>
      <c r="C135" s="5"/>
      <c r="D135" s="6"/>
      <c r="E135" s="5"/>
      <c r="F135" s="5"/>
    </row>
    <row r="136" spans="1:6" ht="12.75">
      <c r="A136" s="5" t="s">
        <v>106</v>
      </c>
      <c r="D136" s="3">
        <v>6</v>
      </c>
      <c r="E136" s="5" t="s">
        <v>96</v>
      </c>
      <c r="F136" s="5"/>
    </row>
    <row r="137" spans="1:6" ht="12.75">
      <c r="A137" s="5" t="s">
        <v>107</v>
      </c>
      <c r="D137" s="46">
        <v>0.03</v>
      </c>
      <c r="E137" s="5" t="s">
        <v>8</v>
      </c>
      <c r="F137" s="5"/>
    </row>
    <row r="138" spans="1:6" ht="12.75">
      <c r="A138" s="5" t="s">
        <v>108</v>
      </c>
      <c r="D138" s="3">
        <v>80</v>
      </c>
      <c r="E138" s="5" t="s">
        <v>96</v>
      </c>
      <c r="F138" s="5"/>
    </row>
    <row r="139" spans="1:6" ht="12.75">
      <c r="A139" s="5" t="s">
        <v>109</v>
      </c>
      <c r="D139" s="3">
        <v>2</v>
      </c>
      <c r="E139" s="5" t="s">
        <v>110</v>
      </c>
      <c r="F139" s="5"/>
    </row>
    <row r="140" spans="1:6" ht="12.75">
      <c r="A140" s="15" t="s">
        <v>111</v>
      </c>
      <c r="C140" s="5"/>
      <c r="D140" s="22">
        <f>-174+((10*LOG(D137*1000000))+D136)</f>
        <v>-123.22878745280337</v>
      </c>
      <c r="E140" s="5" t="s">
        <v>110</v>
      </c>
      <c r="F140" s="5"/>
    </row>
    <row r="141" spans="1:8" ht="12.75">
      <c r="A141" s="5" t="s">
        <v>112</v>
      </c>
      <c r="B141" s="5"/>
      <c r="C141" s="5"/>
      <c r="D141" s="22">
        <f>D138+D140</f>
        <v>-43.228787452803374</v>
      </c>
      <c r="E141" s="5" t="s">
        <v>110</v>
      </c>
      <c r="G141" s="5"/>
      <c r="H141" s="45"/>
    </row>
    <row r="142" spans="1:8" ht="12.75">
      <c r="A142" s="5" t="s">
        <v>113</v>
      </c>
      <c r="B142" s="5"/>
      <c r="C142" s="5"/>
      <c r="D142" s="22">
        <f>-174+D138+D136+(10*LOG(25000))</f>
        <v>-44.020599913279625</v>
      </c>
      <c r="E142" s="5" t="s">
        <v>110</v>
      </c>
      <c r="G142" s="5"/>
      <c r="H142" s="45"/>
    </row>
    <row r="143" spans="1:8" ht="12.75">
      <c r="A143" s="5" t="s">
        <v>114</v>
      </c>
      <c r="B143" s="5"/>
      <c r="C143" s="5"/>
      <c r="D143" s="22">
        <f>-174+D138+D136+(10*LOG(12500))</f>
        <v>-47.03089986991944</v>
      </c>
      <c r="E143" s="5" t="s">
        <v>110</v>
      </c>
      <c r="G143" s="5"/>
      <c r="H143" s="45"/>
    </row>
    <row r="145" ht="12.75">
      <c r="A145" s="34" t="s">
        <v>115</v>
      </c>
    </row>
    <row r="146" spans="1:6" ht="12.75">
      <c r="A146" t="s">
        <v>116</v>
      </c>
      <c r="D146" s="40">
        <v>15</v>
      </c>
      <c r="E146" t="s">
        <v>96</v>
      </c>
      <c r="F146" s="5"/>
    </row>
    <row r="147" spans="1:6" ht="12.75">
      <c r="A147" t="s">
        <v>117</v>
      </c>
      <c r="D147" s="40">
        <v>26</v>
      </c>
      <c r="E147" t="s">
        <v>14</v>
      </c>
      <c r="F147" s="5"/>
    </row>
    <row r="148" spans="1:6" ht="12.75">
      <c r="A148" t="s">
        <v>118</v>
      </c>
      <c r="D148" s="40">
        <v>-40</v>
      </c>
      <c r="E148" t="s">
        <v>14</v>
      </c>
      <c r="F148" s="5"/>
    </row>
    <row r="149" spans="1:6" ht="12.75">
      <c r="A149" t="s">
        <v>119</v>
      </c>
      <c r="D149" s="39">
        <f>D147-10</f>
        <v>16</v>
      </c>
      <c r="E149" t="s">
        <v>120</v>
      </c>
      <c r="F149" s="5"/>
    </row>
    <row r="150" spans="1:6" ht="12.75">
      <c r="A150" t="s">
        <v>121</v>
      </c>
      <c r="D150" s="39">
        <f>D146+D148</f>
        <v>-25</v>
      </c>
      <c r="E150" t="s">
        <v>14</v>
      </c>
      <c r="F150" s="5"/>
    </row>
    <row r="151" spans="1:6" ht="12.75">
      <c r="A151" t="s">
        <v>122</v>
      </c>
      <c r="D151" s="39">
        <f>3*D150-2*D147</f>
        <v>-127</v>
      </c>
      <c r="E151" t="s">
        <v>14</v>
      </c>
      <c r="F151" s="5"/>
    </row>
    <row r="152" spans="1:6" ht="12.75">
      <c r="A152" t="s">
        <v>123</v>
      </c>
      <c r="D152" s="39">
        <f>-D150+D151</f>
        <v>-102</v>
      </c>
      <c r="E152" t="s">
        <v>96</v>
      </c>
      <c r="F152" s="5"/>
    </row>
    <row r="153" spans="4:6" ht="12.75">
      <c r="D153" s="35"/>
      <c r="F153" s="5"/>
    </row>
    <row r="154" spans="1:6" ht="12.75">
      <c r="A154" s="34" t="s">
        <v>124</v>
      </c>
      <c r="B154" s="34"/>
      <c r="C154" s="34"/>
      <c r="D154" s="36"/>
      <c r="E154" s="34"/>
      <c r="F154" s="14"/>
    </row>
    <row r="155" spans="1:6" ht="12.75">
      <c r="A155" t="s">
        <v>125</v>
      </c>
      <c r="D155" s="40">
        <v>44</v>
      </c>
      <c r="E155" t="s">
        <v>14</v>
      </c>
      <c r="F155" s="5"/>
    </row>
    <row r="156" spans="1:6" ht="12.75">
      <c r="A156" t="s">
        <v>126</v>
      </c>
      <c r="D156" s="40">
        <v>10</v>
      </c>
      <c r="E156" t="s">
        <v>14</v>
      </c>
      <c r="F156" s="5"/>
    </row>
    <row r="157" spans="1:6" ht="12.75">
      <c r="A157" t="s">
        <v>127</v>
      </c>
      <c r="D157" s="39">
        <f>D155-(2*(D155-D156))</f>
        <v>-24</v>
      </c>
      <c r="E157" t="s">
        <v>14</v>
      </c>
      <c r="F157" s="5"/>
    </row>
    <row r="158" spans="1:6" ht="12.75">
      <c r="A158" t="s">
        <v>128</v>
      </c>
      <c r="D158" s="39">
        <f>D156+D157</f>
        <v>-14</v>
      </c>
      <c r="E158" t="s">
        <v>96</v>
      </c>
      <c r="F158" s="5"/>
    </row>
    <row r="159" spans="1:6" ht="12.75">
      <c r="A159" t="s">
        <v>129</v>
      </c>
      <c r="D159" s="39">
        <f>D155-(3*(D155-D156))</f>
        <v>-58</v>
      </c>
      <c r="E159" t="s">
        <v>14</v>
      </c>
      <c r="F159" s="5"/>
    </row>
    <row r="160" spans="1:6" ht="12.75">
      <c r="A160" t="s">
        <v>130</v>
      </c>
      <c r="D160" s="39">
        <f>D156+D159</f>
        <v>-48</v>
      </c>
      <c r="E160" t="s">
        <v>96</v>
      </c>
      <c r="F160" s="5"/>
    </row>
    <row r="162" ht="12.75">
      <c r="A162" s="34" t="s">
        <v>131</v>
      </c>
    </row>
    <row r="163" ht="12.75">
      <c r="A163" t="s">
        <v>132</v>
      </c>
    </row>
    <row r="164" ht="12.75">
      <c r="A164" t="s">
        <v>133</v>
      </c>
    </row>
    <row r="165" spans="1:6" ht="12.75">
      <c r="A165" t="s">
        <v>117</v>
      </c>
      <c r="D165" s="40">
        <v>45</v>
      </c>
      <c r="E165" t="s">
        <v>14</v>
      </c>
      <c r="F165" s="5"/>
    </row>
    <row r="166" spans="1:6" ht="12.75">
      <c r="A166" t="s">
        <v>134</v>
      </c>
      <c r="D166" s="18">
        <v>2</v>
      </c>
      <c r="E166" t="s">
        <v>135</v>
      </c>
      <c r="F166" s="5"/>
    </row>
    <row r="167" spans="1:6" ht="12.75">
      <c r="A167" t="s">
        <v>136</v>
      </c>
      <c r="D167" s="39">
        <f>(2/3)*(D165+0.409-24.75*LOG(D166)+1.437*LOG(D166)^2)</f>
        <v>25.392484796052273</v>
      </c>
      <c r="E167" t="s">
        <v>14</v>
      </c>
      <c r="F167" s="5"/>
    </row>
    <row r="168" spans="1:6" ht="12.75">
      <c r="A168" t="s">
        <v>136</v>
      </c>
      <c r="D168" s="39">
        <f>10^(D167/10)</f>
        <v>346.13736209439764</v>
      </c>
      <c r="E168" t="s">
        <v>19</v>
      </c>
      <c r="F168" s="5"/>
    </row>
    <row r="170" spans="1:4" s="34" customFormat="1" ht="12.75">
      <c r="A170" s="34" t="s">
        <v>137</v>
      </c>
      <c r="D170" s="41"/>
    </row>
    <row r="171" s="34" customFormat="1" ht="12.75">
      <c r="D171" s="41"/>
    </row>
    <row r="172" spans="1:4" s="34" customFormat="1" ht="12.75">
      <c r="A172" s="34" t="s">
        <v>138</v>
      </c>
      <c r="D172" s="41"/>
    </row>
    <row r="173" spans="1:4" s="34" customFormat="1" ht="12.75">
      <c r="A173" s="42" t="s">
        <v>7</v>
      </c>
      <c r="B173" s="52">
        <v>6</v>
      </c>
      <c r="C173" s="42" t="s">
        <v>139</v>
      </c>
      <c r="D173" s="43"/>
    </row>
    <row r="174" spans="1:4" s="34" customFormat="1" ht="12.75">
      <c r="A174" s="42" t="s">
        <v>10</v>
      </c>
      <c r="B174" s="44">
        <f>B173*2.54</f>
        <v>15.24</v>
      </c>
      <c r="C174" s="42" t="s">
        <v>140</v>
      </c>
      <c r="D174" s="43"/>
    </row>
    <row r="175" spans="1:4" ht="12.75">
      <c r="A175" s="42" t="s">
        <v>10</v>
      </c>
      <c r="B175" s="44">
        <f>B174/100</f>
        <v>0.1524</v>
      </c>
      <c r="C175" s="42" t="s">
        <v>141</v>
      </c>
      <c r="D175" s="43"/>
    </row>
    <row r="176" spans="1:4" ht="12.75">
      <c r="A176" s="42"/>
      <c r="B176" s="42"/>
      <c r="C176" s="42"/>
      <c r="D176" s="43"/>
    </row>
    <row r="177" ht="12.75">
      <c r="A177" s="34" t="s">
        <v>142</v>
      </c>
    </row>
    <row r="178" spans="1:3" ht="12.75">
      <c r="A178" t="s">
        <v>7</v>
      </c>
      <c r="B178" s="18">
        <v>892</v>
      </c>
      <c r="C178" t="s">
        <v>143</v>
      </c>
    </row>
    <row r="179" spans="1:3" ht="12.75">
      <c r="A179" t="s">
        <v>10</v>
      </c>
      <c r="B179" s="45">
        <f>B178*0.3048</f>
        <v>271.8816</v>
      </c>
      <c r="C179" t="s">
        <v>141</v>
      </c>
    </row>
    <row r="180" spans="1:3" ht="12.75">
      <c r="A180" t="s">
        <v>10</v>
      </c>
      <c r="B180" s="1">
        <f>B179/1000</f>
        <v>0.2718816</v>
      </c>
      <c r="C180" t="s">
        <v>144</v>
      </c>
    </row>
    <row r="182" spans="1:4" s="34" customFormat="1" ht="12.75">
      <c r="A182" s="34" t="s">
        <v>145</v>
      </c>
      <c r="D182" s="41"/>
    </row>
    <row r="183" spans="1:3" ht="12.75">
      <c r="A183" t="s">
        <v>25</v>
      </c>
      <c r="B183" s="18">
        <v>1</v>
      </c>
      <c r="C183" t="s">
        <v>50</v>
      </c>
    </row>
    <row r="184" spans="1:3" ht="12.75">
      <c r="A184" t="s">
        <v>10</v>
      </c>
      <c r="B184" s="45">
        <f>B183*1609.3</f>
        <v>1609.3</v>
      </c>
      <c r="C184" t="s">
        <v>141</v>
      </c>
    </row>
    <row r="185" spans="1:3" ht="12.75">
      <c r="A185" t="s">
        <v>10</v>
      </c>
      <c r="B185" s="45">
        <f>B183*1.6093</f>
        <v>1.6093</v>
      </c>
      <c r="C185" t="s">
        <v>144</v>
      </c>
    </row>
    <row r="187" spans="1:4" s="34" customFormat="1" ht="12.75">
      <c r="A187" s="34" t="s">
        <v>146</v>
      </c>
      <c r="D187" s="41"/>
    </row>
    <row r="188" spans="1:3" ht="12.75">
      <c r="A188" t="s">
        <v>7</v>
      </c>
      <c r="B188" s="18">
        <v>100000</v>
      </c>
      <c r="C188" t="s">
        <v>141</v>
      </c>
    </row>
    <row r="189" spans="1:3" ht="12.75">
      <c r="A189" t="s">
        <v>10</v>
      </c>
      <c r="B189">
        <f>B188*12*3.281</f>
        <v>3937200</v>
      </c>
      <c r="C189" t="s">
        <v>139</v>
      </c>
    </row>
    <row r="190" spans="1:3" ht="12.75">
      <c r="A190" t="s">
        <v>10</v>
      </c>
      <c r="B190">
        <f>B188*3.281</f>
        <v>328100</v>
      </c>
      <c r="C190" t="s">
        <v>143</v>
      </c>
    </row>
    <row r="191" spans="1:3" ht="12.75">
      <c r="A191" t="s">
        <v>10</v>
      </c>
      <c r="B191" s="45">
        <f>B190/3</f>
        <v>109366.66666666667</v>
      </c>
      <c r="C191" t="s">
        <v>147</v>
      </c>
    </row>
    <row r="192" spans="1:3" ht="12.75">
      <c r="A192" t="s">
        <v>10</v>
      </c>
      <c r="B192">
        <f>B188*0.0006214</f>
        <v>62.14</v>
      </c>
      <c r="C192" t="s">
        <v>50</v>
      </c>
    </row>
  </sheetData>
  <sheetProtection password="F477" sheet="1" objects="1" scenarios="1"/>
  <printOptions/>
  <pageMargins left="0.5" right="0.5" top="0.75" bottom="0.5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PF</cp:lastModifiedBy>
  <dcterms:created xsi:type="dcterms:W3CDTF">1998-02-11T20:20:48Z</dcterms:created>
  <dcterms:modified xsi:type="dcterms:W3CDTF">2011-04-03T05:10:44Z</dcterms:modified>
  <cp:category/>
  <cp:version/>
  <cp:contentType/>
  <cp:contentStatus/>
</cp:coreProperties>
</file>